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795" windowWidth="15600" windowHeight="6750" tabRatio="789" activeTab="3"/>
  </bookViews>
  <sheets>
    <sheet name="Info" sheetId="14" r:id="rId1"/>
    <sheet name="Netzbetreiber" sheetId="5" r:id="rId2"/>
    <sheet name="SLP-Verfahren" sheetId="15" r:id="rId3"/>
    <sheet name="SLP-Temp-Gebiet Bad Lauterberg" sheetId="17" r:id="rId4"/>
    <sheet name="SLP-Temp-Gebiet #02" sheetId="18" state="hidden" r:id="rId5"/>
    <sheet name="SLP-Profile" sheetId="7" r:id="rId6"/>
    <sheet name="BDEW-Standard" sheetId="8" r:id="rId7"/>
    <sheet name="SLP-Feiertage" sheetId="1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7" l="1"/>
  <c r="E6" i="17"/>
  <c r="E4" i="17"/>
  <c r="W24" i="7" l="1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H24" i="7"/>
  <c r="Q24" i="7" s="1"/>
  <c r="F24" i="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<sst xmlns="http://schemas.openxmlformats.org/spreadsheetml/2006/main" count="1393" uniqueCount="687">
  <si>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</si>
  <si>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</si>
  <si>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</si>
  <si>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</si>
  <si>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</si>
  <si>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</si>
  <si>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</si>
  <si>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</si>
  <si>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</si>
  <si>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</si>
  <si>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</si>
  <si>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</si>
  <si>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</si>
  <si>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</si>
  <si>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</si>
  <si>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</si>
  <si>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</si>
  <si>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</si>
  <si>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</si>
  <si>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</si>
  <si>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</si>
  <si>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</si>
  <si>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</si>
  <si>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</si>
  <si>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</si>
  <si>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</si>
  <si>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</si>
  <si>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</si>
  <si>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</si>
  <si>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</si>
  <si>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</si>
  <si>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</si>
  <si>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</si>
  <si>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</si>
  <si>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</si>
  <si>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</si>
  <si>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</si>
  <si>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</si>
  <si>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</si>
  <si>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</si>
  <si>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</si>
  <si>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</si>
  <si>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</si>
  <si>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</si>
  <si>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</si>
  <si>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</si>
  <si>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</si>
  <si>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</si>
  <si>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</si>
  <si>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</si>
  <si>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</si>
  <si>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</si>
  <si>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</si>
  <si>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</si>
  <si>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</si>
  <si>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</si>
  <si>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</si>
  <si>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</si>
  <si>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</si>
  <si>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</si>
  <si>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</si>
  <si>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</si>
  <si>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</si>
  <si>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</si>
  <si>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</si>
  <si>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</si>
  <si>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</si>
  <si>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</si>
  <si>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</si>
  <si>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</si>
  <si>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</si>
  <si>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</si>
  <si>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</si>
  <si>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</si>
  <si>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</si>
  <si>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</si>
  <si>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</si>
  <si>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</si>
  <si>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</si>
  <si>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</si>
  <si>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</si>
  <si>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</si>
  <si>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</si>
  <si>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</si>
  <si>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</si>
  <si>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</si>
  <si>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</si>
  <si>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</si>
  <si>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</si>
  <si>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</si>
  <si>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</si>
  <si>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</si>
  <si>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</si>
  <si>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</si>
  <si>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</si>
  <si>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</si>
  <si>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</si>
  <si>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</si>
  <si>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</si>
  <si>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</si>
  <si>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</si>
  <si>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</si>
  <si>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</si>
  <si>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</si>
  <si>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</si>
  <si>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</si>
  <si>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</si>
  <si>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</si>
  <si>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</si>
  <si>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</si>
  <si>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</si>
  <si>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</si>
  <si>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</si>
  <si>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</si>
  <si>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</si>
  <si>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</si>
  <si>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</si>
  <si>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</si>
  <si>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</si>
  <si>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</si>
  <si>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</si>
  <si>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</si>
  <si>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</si>
  <si>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</si>
  <si>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</si>
  <si>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</si>
  <si>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</si>
  <si>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</si>
  <si>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</si>
  <si>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</si>
  <si>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</si>
  <si>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</si>
  <si>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</si>
  <si>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</si>
  <si>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</si>
  <si>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</si>
  <si>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</si>
  <si>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</si>
  <si>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</si>
  <si>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</si>
  <si>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</si>
  <si>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</si>
  <si>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</si>
  <si>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</si>
  <si>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</si>
  <si>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</si>
  <si>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</si>
  <si>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</si>
  <si>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</si>
  <si>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</si>
  <si>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</si>
  <si>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</si>
  <si>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</si>
  <si>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</si>
  <si>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</si>
  <si>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</si>
  <si>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</si>
  <si>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</si>
  <si>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</si>
  <si>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</si>
  <si>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</si>
  <si>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</si>
  <si>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</si>
  <si>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</si>
  <si>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</si>
  <si>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</si>
  <si>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</si>
  <si>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</si>
  <si>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</si>
  <si>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</si>
  <si>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</si>
  <si>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</si>
  <si>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</si>
  <si>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</si>
  <si>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</si>
  <si>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</si>
  <si>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</si>
  <si>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</si>
  <si>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</si>
  <si>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</si>
  <si>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</si>
  <si>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</si>
  <si>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</si>
  <si>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</si>
  <si>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</si>
  <si>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</si>
  <si>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</si>
  <si>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</si>
  <si>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</si>
  <si>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</si>
  <si>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</si>
  <si>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</si>
  <si>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</si>
  <si>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</si>
  <si>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</si>
  <si>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</si>
  <si>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</si>
  <si>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</si>
  <si>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</si>
  <si>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</si>
  <si>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</si>
  <si>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</si>
  <si>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</si>
  <si>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</si>
  <si>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</si>
  <si>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</si>
  <si>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</si>
  <si>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</si>
  <si>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</si>
  <si>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</si>
  <si>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</si>
  <si>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</si>
  <si>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</si>
  <si>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</si>
  <si>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</si>
  <si>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</si>
  <si>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</si>
  <si>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</si>
  <si>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</si>
  <si>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</si>
  <si>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</si>
  <si>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</si>
  <si>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</si>
  <si>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</si>
  <si>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</si>
  <si>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</si>
  <si>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</si>
  <si>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</si>
  <si>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</si>
  <si>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</si>
  <si>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</si>
  <si>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</si>
  <si>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</si>
  <si>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</si>
  <si>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</si>
  <si>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</si>
  <si>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</si>
  <si>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</si>
  <si>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</si>
  <si>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</si>
  <si>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</si>
  <si>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</si>
  <si>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</si>
  <si>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</si>
  <si>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</si>
  <si>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</si>
  <si>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</si>
  <si>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</si>
  <si>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</si>
  <si>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</si>
  <si>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</si>
  <si>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</si>
  <si>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</si>
  <si>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</si>
  <si>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</si>
  <si>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</si>
  <si>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</si>
  <si>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</si>
  <si>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</si>
  <si>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</si>
  <si>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</si>
  <si>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</si>
  <si>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</si>
  <si>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</si>
  <si>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</si>
  <si>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</si>
  <si>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</si>
  <si>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</si>
  <si>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</si>
  <si>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</si>
  <si>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</si>
  <si>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</si>
  <si>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</si>
  <si>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</si>
  <si>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</si>
  <si>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</si>
  <si>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</si>
  <si>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</si>
  <si>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</si>
  <si>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</si>
  <si>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</si>
  <si>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</si>
  <si>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</si>
  <si>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</si>
  <si>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</si>
  <si>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</si>
  <si>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</si>
  <si>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</si>
  <si>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</si>
  <si>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</si>
  <si>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</si>
  <si>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</si>
  <si>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</si>
  <si>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</si>
  <si>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</si>
  <si>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</si>
  <si>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</si>
  <si>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</si>
  <si>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</si>
  <si>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</si>
  <si>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</si>
  <si>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</si>
  <si>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</si>
  <si>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</si>
  <si>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</si>
  <si>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</si>
  <si>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</si>
  <si>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</si>
  <si>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</si>
  <si>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</si>
  <si>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</si>
  <si>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</si>
  <si>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</si>
  <si>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</si>
  <si>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</si>
  <si>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</si>
  <si>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</si>
  <si>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</si>
  <si>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</si>
  <si>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</si>
  <si>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</si>
  <si>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</si>
  <si>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</si>
  <si>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</si>
  <si>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</si>
  <si>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</si>
  <si>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</si>
  <si>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</si>
  <si>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</si>
  <si>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</si>
  <si>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</si>
  <si>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</si>
  <si>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</si>
  <si>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</si>
  <si>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</si>
  <si>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</si>
  <si>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</si>
  <si>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</si>
  <si>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</si>
  <si>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</si>
  <si>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</si>
  <si>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</si>
  <si>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</si>
  <si>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</si>
  <si>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</si>
  <si>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</si>
  <si>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</si>
  <si>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</si>
  <si>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</si>
  <si>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</si>
  <si>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</si>
  <si>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</si>
  <si>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</si>
  <si>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</si>
  <si>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</si>
  <si>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</si>
  <si>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</si>
  <si>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</si>
  <si>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</si>
  <si>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</si>
  <si>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</si>
  <si>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</si>
  <si>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</si>
  <si>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</si>
  <si>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</si>
  <si>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</si>
  <si>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</si>
  <si>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</si>
  <si>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</si>
  <si>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</si>
  <si>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</si>
  <si>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</si>
  <si>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</si>
  <si>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</si>
  <si>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</si>
  <si>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</si>
  <si>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</si>
  <si>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</si>
  <si>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</si>
  <si>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</si>
  <si>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</si>
  <si>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</si>
  <si>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</si>
  <si>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</si>
  <si>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</si>
  <si>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</si>
  <si>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</si>
  <si>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</si>
  <si>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</si>
  <si>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</si>
  <si>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</si>
  <si>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</si>
  <si>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</si>
  <si>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</si>
  <si>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</si>
  <si>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</si>
  <si>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</si>
  <si>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</si>
  <si>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</si>
  <si>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</si>
  <si>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</si>
  <si>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</si>
  <si>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</si>
  <si>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</si>
  <si>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</si>
  <si>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</si>
  <si>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</si>
  <si>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</si>
  <si>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</si>
  <si>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</si>
  <si>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</si>
  <si>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</si>
  <si>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</si>
  <si>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</si>
  <si>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</si>
  <si>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</si>
  <si>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</si>
  <si>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</si>
  <si>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</si>
  <si>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</si>
  <si>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</si>
  <si>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</si>
  <si>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</si>
  <si>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</si>
  <si>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</si>
  <si>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</si>
  <si>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</si>
  <si>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</si>
  <si>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</si>
  <si>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</si>
  <si>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</si>
  <si>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</si>
  <si>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</si>
  <si>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</si>
  <si>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</si>
  <si>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</si>
  <si>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</si>
  <si>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</si>
  <si>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</si>
  <si>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</si>
  <si>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</si>
  <si>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</si>
  <si>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</si>
  <si>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</si>
  <si>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</si>
  <si>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</si>
  <si>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</si>
  <si>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</si>
  <si>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</si>
  <si>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</si>
  <si>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</si>
  <si>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</si>
  <si>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</si>
  <si>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</si>
  <si>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</si>
  <si>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</si>
  <si>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</si>
  <si>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</si>
  <si>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</si>
  <si>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</si>
  <si>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</si>
  <si>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</si>
  <si>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</si>
  <si>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</si>
  <si>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</si>
  <si>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</si>
  <si>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</si>
  <si>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</si>
  <si>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</si>
  <si>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</si>
  <si>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</si>
  <si>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</si>
  <si>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</si>
  <si>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</si>
  <si>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</si>
  <si>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</si>
  <si>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</si>
  <si>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</si>
  <si>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</si>
  <si>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</si>
  <si>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</si>
  <si>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</si>
  <si>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</si>
  <si>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</si>
  <si>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</si>
  <si>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</si>
  <si>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</si>
  <si>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</si>
  <si>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</si>
  <si>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</si>
  <si>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</si>
  <si>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</si>
  <si>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</si>
  <si>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</si>
  <si>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</si>
  <si>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</si>
  <si>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</si>
  <si>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</si>
  <si>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</si>
  <si>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</si>
  <si>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</si>
  <si>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</si>
  <si>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</si>
  <si>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</si>
  <si>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</si>
  <si>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</si>
  <si>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</si>
  <si>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</si>
  <si>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</si>
  <si>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</si>
  <si>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</si>
  <si>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</si>
  <si>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</si>
  <si>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</si>
  <si>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</si>
  <si>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</si>
  <si>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</si>
  <si>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</si>
  <si>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</si>
  <si>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</si>
  <si>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</si>
  <si>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</si>
  <si>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</si>
  <si>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</si>
  <si>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</si>
  <si>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</si>
  <si>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</si>
  <si>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</si>
  <si>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</si>
  <si>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</si>
  <si>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</si>
  <si>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</si>
  <si>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</si>
  <si>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</si>
  <si>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</si>
  <si>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</si>
  <si>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</si>
  <si>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</si>
  <si>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</si>
  <si>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</si>
  <si>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</si>
  <si>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</si>
  <si>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</si>
  <si>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</si>
  <si>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</si>
  <si>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</si>
  <si>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</si>
  <si>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</si>
  <si>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</si>
  <si>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</si>
  <si>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</si>
  <si>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</si>
  <si>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</si>
  <si>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</si>
  <si>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</si>
  <si>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</si>
  <si>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</si>
  <si>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</si>
  <si>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</si>
  <si>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</si>
  <si>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</si>
  <si>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</si>
  <si>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</si>
  <si>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</si>
  <si>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</si>
  <si>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</si>
  <si>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</si>
  <si>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</si>
  <si>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</si>
  <si>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</si>
  <si>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</si>
  <si>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</si>
  <si>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</si>
  <si>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</si>
  <si>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</si>
  <si>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</si>
  <si>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</si>
  <si>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</si>
  <si>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</si>
  <si>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</si>
  <si>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</si>
  <si>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</si>
  <si>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</si>
  <si>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</si>
  <si>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</si>
  <si>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</si>
  <si>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</si>
  <si>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</si>
  <si>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</si>
  <si>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</si>
  <si>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</si>
  <si>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</si>
  <si>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</si>
  <si>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</si>
  <si>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</si>
  <si>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</si>
  <si>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</si>
  <si>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</si>
  <si>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</si>
  <si>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</si>
  <si>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</si>
  <si>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</si>
  <si>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</si>
  <si>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</si>
  <si>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</si>
  <si>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</si>
  <si>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</si>
  <si>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</si>
  <si>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</si>
  <si>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</si>
  <si>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</si>
  <si>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</si>
  <si>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</si>
  <si>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</si>
  <si>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</si>
  <si>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</si>
  <si>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</si>
  <si>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</si>
  <si>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</si>
  <si>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</si>
  <si>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</si>
  <si>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</si>
  <si>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</si>
  <si>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</si>
  <si>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</si>
  <si>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</si>
  <si>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</si>
  <si>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</si>
  <si>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</si>
  <si>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</si>
  <si>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</si>
  <si>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</si>
  <si>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</si>
  <si>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</si>
  <si>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</si>
  <si>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</si>
  <si>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</si>
  <si>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</si>
  <si>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</si>
  <si>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</si>
  <si>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</si>
  <si>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</si>
  <si>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</si>
  <si>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</si>
  <si>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</si>
  <si>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</si>
  <si>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</si>
  <si>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</si>
  <si>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</si>
  <si>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</si>
  <si>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</si>
  <si>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</si>
  <si>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</si>
  <si>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</si>
  <si>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</si>
  <si>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</si>
  <si>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</si>
  <si>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</si>
  <si>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</si>
  <si>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Harz Energie Netz GmbH</t>
  </si>
  <si>
    <t>9870038700000</t>
  </si>
  <si>
    <t>Lasfelder Straße 10</t>
  </si>
  <si>
    <t>Osterode am Harz</t>
  </si>
  <si>
    <t>Rainer Fricke</t>
  </si>
  <si>
    <t>r.fricke@harzenergie-netz.de</t>
  </si>
  <si>
    <t>05522/5038237</t>
  </si>
  <si>
    <t>Gaspool L-Gas</t>
  </si>
  <si>
    <t>NetConnect Germany H-Gas</t>
  </si>
  <si>
    <t>GASPOOLNL7003871</t>
  </si>
  <si>
    <t>Bad Lauterberg</t>
  </si>
  <si>
    <t xml:space="preserve"> MeteoGroup Deutschland GmbH</t>
  </si>
  <si>
    <t>Bad Lauterberg-GAT</t>
  </si>
  <si>
    <t>6510449 (104480 )</t>
  </si>
  <si>
    <t>DE_HEF04</t>
  </si>
  <si>
    <t>DE_HMF04</t>
  </si>
  <si>
    <t>DE_GMK05</t>
  </si>
  <si>
    <t>DE_GKO05</t>
  </si>
  <si>
    <t>DE_GBD05</t>
  </si>
  <si>
    <t>DE_GGA05</t>
  </si>
  <si>
    <t>DE_GBH05</t>
  </si>
  <si>
    <t>DE_GWA05</t>
  </si>
  <si>
    <t>DE_GGB05</t>
  </si>
  <si>
    <t>DE_GBA05</t>
  </si>
  <si>
    <t>DE_GPD05</t>
  </si>
  <si>
    <t>DE_GHA05</t>
  </si>
  <si>
    <t>Meteo Group</t>
  </si>
  <si>
    <t>Bad Lauterberg-GAT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</si>
</sst>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43663</v>
      </c>
      <c r="E29" s="8"/>
      <c r="F29" s="8"/>
      <c r="G29" s="8"/>
      <c r="H29" s="8"/>
    </row>
    <row r="30" spans="2:12">
      <c r="B30" s="21" t="s">
        <v>350</v>
      </c>
      <c r="C30" s="339" t="s">
        <v>658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43718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43831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42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37520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Gaspool L-Gas</v>
      </c>
      <c r="E28" s="38"/>
      <c r="F28" s="11"/>
      <c r="G28" s="2"/>
    </row>
    <row r="29" spans="1:15">
      <c r="B29" s="15"/>
      <c r="C29" s="22" t="s">
        <v>398</v>
      </c>
      <c r="D29" s="45" t="s">
        <v>666</v>
      </c>
      <c r="E29" s="40"/>
      <c r="F29" s="11"/>
      <c r="G29" s="2"/>
    </row>
    <row r="30" spans="1:15">
      <c r="B30" s="15"/>
      <c r="C30" s="22" t="s">
        <v>399</v>
      </c>
      <c r="D30" s="45" t="s">
        <v>667</v>
      </c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Harz Energie Netz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Gaspool L-Gas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9870038700000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43831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621</v>
      </c>
      <c r="D13" s="33" t="s">
        <v>623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668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584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555</v>
      </c>
      <c r="C35" s="24" t="s">
        <v>500</v>
      </c>
      <c r="D35" s="269">
        <v>13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669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conditionalFormatting sqref="D15">
    <cfRule type="expression" dxfId="58" priority="20">
      <formula>IF($D$11="Gaspool",1,0)</formula>
    </cfRule>
  </conditionalFormatting>
  <conditionalFormatting sqref="D16">
    <cfRule type="expression" dxfId="57" priority="17">
      <formula>IF($D$11="NCG",1,0)</formula>
    </cfRule>
  </conditionalFormatting>
  <conditionalFormatting sqref="D48:D62">
    <cfRule type="expression" dxfId="56" priority="16">
      <formula>IF(CELL("Zeile",D48)&lt;$D$46+CELL("Zeile",$D$48),1,0)</formula>
    </cfRule>
  </conditionalFormatting>
  <conditionalFormatting sqref="D49:D62">
    <cfRule type="expression" dxfId="55" priority="15">
      <formula>IF(CELL(D49)&lt;$D$36+27,1,0)</formula>
    </cfRule>
  </conditionalFormatting>
  <conditionalFormatting sqref="D23">
    <cfRule type="expression" dxfId="54" priority="14">
      <formula>IF($D$22=$H$22,1,0)</formula>
    </cfRule>
  </conditionalFormatting>
  <conditionalFormatting sqref="D31">
    <cfRule type="expression" dxfId="53" priority="3">
      <formula>IF($D$18="synthetisch",1,0)</formula>
    </cfRule>
  </conditionalFormatting>
  <conditionalFormatting sqref="D28">
    <cfRule type="expression" dxfId="52" priority="1">
      <formula>IF(AND($D$27=$I$27,$D$26=$H$26),1,0)</formula>
    </cfRule>
  </conditionalFormatting>
  <conditionalFormatting sqref="D26:D28">
    <cfRule type="expression" dxfId="51" priority="4">
      <formula>IF($D$18="analytisch",1,0)</formula>
    </cfRule>
  </conditionalFormatting>
  <conditionalFormatting sqref="D27">
    <cfRule type="expression" dxfId="50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34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85.42578125" style="129" bestFit="1" customWidth="1"/>
    <col min="6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tr">
        <f>Netzbetreiber!D9</f>
        <v>Harz Energie Netz GmbH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Gaspool L-Gas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 t="str">
        <f>Netzbetreiber!D11</f>
        <v>9870038700000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f>Netzbetreiber!D6</f>
        <v>43831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 t="str">
        <f>INDEX('SLP-Verfahren'!D48:D62,'SLP-Temp-Gebiet Bad Lauterberg'!F10)</f>
        <v>Bad Lauterberg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8" t="s">
        <v>590</v>
      </c>
      <c r="D13" s="348"/>
      <c r="E13" s="348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9" t="s">
        <v>452</v>
      </c>
      <c r="D14" s="349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9" t="s">
        <v>390</v>
      </c>
      <c r="D15" s="349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685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670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Meteo 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671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672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511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255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519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522</v>
      </c>
      <c r="E55" s="288"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1</v>
      </c>
      <c r="E56" s="289"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">
        <v>670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">
        <v>686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">
        <v>672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Sonstiges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532</v>
      </c>
      <c r="D65" s="187" t="s">
        <v>255</v>
      </c>
      <c r="E65" s="288">
        <f>1-SUMPRODUCT(F63:N63,F65:N65)</f>
        <v>1</v>
      </c>
      <c r="F65" s="288">
        <f>ROUND(F66/$D$66,4)</f>
        <v>0</v>
      </c>
      <c r="G65" s="288">
        <f t="shared" ref="G65:N65" si="12">ROUND(G66/$D$66,4)</f>
        <v>0</v>
      </c>
      <c r="H65" s="288">
        <f t="shared" si="12"/>
        <v>0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539</v>
      </c>
      <c r="D66" s="187">
        <f>SUMPRODUCT(E66:N66,E63:N63)</f>
        <v>1</v>
      </c>
      <c r="E66" s="296">
        <f>E32</f>
        <v>1</v>
      </c>
      <c r="F66" s="296">
        <v>0</v>
      </c>
      <c r="G66" s="296">
        <v>0</v>
      </c>
      <c r="H66" s="296">
        <v>0</v>
      </c>
      <c r="I66" s="296">
        <f t="shared" ref="F66:N66" si="13">I32</f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Kalendertag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50" t="s">
        <v>586</v>
      </c>
      <c r="D72" s="350"/>
      <c r="E72" s="350"/>
      <c r="F72" s="35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7:N68 F36:N36 F26:N26 F56:N57 F22 I22:N22 F52 G24:N24 G70:N70 F32:N34 E69:N69 F25:N25 E60:N60 F59:N59 F58:N58 E66 I66:N66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Gaspool L-Gas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8" t="s">
        <v>590</v>
      </c>
      <c r="D13" s="348"/>
      <c r="E13" s="348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9" t="s">
        <v>452</v>
      </c>
      <c r="D14" s="349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9" t="s">
        <v>390</v>
      </c>
      <c r="D15" s="349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0" t="s">
        <v>586</v>
      </c>
      <c r="D72" s="350"/>
      <c r="E72" s="350"/>
      <c r="F72" s="35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18" sqref="D18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Harz Energie Netz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Gaspool L-Gas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9870038700000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43831</v>
      </c>
      <c r="E8" s="131"/>
      <c r="F8" s="131"/>
      <c r="H8" s="129" t="s">
        <v>500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.75" thickBot="1">
      <c r="B11" s="140" t="s">
        <v>501</v>
      </c>
      <c r="C11" s="141" t="s">
        <v>516</v>
      </c>
      <c r="D11" s="305" t="s">
        <v>248</v>
      </c>
      <c r="E11" s="165"/>
      <c r="F11" s="307" t="e">
        <f>VLOOKUP($E11,'BDEW-Standard'!$B$3:$M$158,F$9,0)</f>
        <v>#N/A</v>
      </c>
      <c r="H11" s="168" t="e">
        <f>ROUND(VLOOKUP($E11,'BDEW-Standard'!$B$3:$M$158,H$9,0),7)</f>
        <v>#N/A</v>
      </c>
      <c r="I11" s="168" t="e">
        <f>ROUND(VLOOKUP($E11,'BDEW-Standard'!$B$3:$M$158,I$9,0),7)</f>
        <v>#N/A</v>
      </c>
      <c r="J11" s="168" t="e">
        <f>ROUND(VLOOKUP($E11,'BDEW-Standard'!$B$3:$M$158,J$9,0),7)</f>
        <v>#N/A</v>
      </c>
      <c r="K11" s="168" t="e">
        <f>ROUND(VLOOKUP($E11,'BDEW-Standard'!$B$3:$M$158,K$9,0),7)</f>
        <v>#N/A</v>
      </c>
      <c r="L11" s="215" t="e">
        <f>ROUND(VLOOKUP($E11,'BDEW-Standard'!$B$3:$M$158,L$9,0),1)</f>
        <v>#N/A</v>
      </c>
      <c r="M11" s="168" t="e">
        <f>ROUND(VLOOKUP($E11,'BDEW-Standard'!$B$3:$M$158,M$9,0),7)</f>
        <v>#N/A</v>
      </c>
      <c r="N11" s="168" t="e">
        <f>ROUND(VLOOKUP($E11,'BDEW-Standard'!$B$3:$M$158,N$9,0),7)</f>
        <v>#N/A</v>
      </c>
      <c r="O11" s="168" t="e">
        <f>ROUND(VLOOKUP($E11,'BDEW-Standard'!$B$3:$M$158,O$9,0),7)</f>
        <v>#N/A</v>
      </c>
      <c r="P11" s="168" t="e">
        <f>ROUND(VLOOKUP($E11,'BDEW-Standard'!$B$3:$M$158,P$9,0),7)</f>
        <v>#N/A</v>
      </c>
      <c r="Q11" s="214" t="e">
        <f>($H11/(1+($I11/($Q$9-$L11))^$J11)+$K11)+MAX($M11*$Q$9+$N11,$O11*$Q$9+$P11)</f>
        <v>#N/A</v>
      </c>
      <c r="R11" s="169" t="e">
        <f>ROUND(VLOOKUP(MID($E11,4,3),'Wochentag F(WT)'!$B$7:$J$22,R$9,0),4)</f>
        <v>#N/A</v>
      </c>
      <c r="S11" s="169" t="e">
        <f>ROUND(VLOOKUP(MID($E11,4,3),'Wochentag F(WT)'!$B$7:$J$22,S$9,0),4)</f>
        <v>#N/A</v>
      </c>
      <c r="T11" s="169" t="e">
        <f>ROUND(VLOOKUP(MID($E11,4,3),'Wochentag F(WT)'!$B$7:$J$22,T$9,0),4)</f>
        <v>#N/A</v>
      </c>
      <c r="U11" s="169" t="e">
        <f>ROUND(VLOOKUP(MID($E11,4,3),'Wochentag F(WT)'!$B$7:$J$22,U$9,0),4)</f>
        <v>#N/A</v>
      </c>
      <c r="V11" s="169" t="e">
        <f>ROUND(VLOOKUP(MID($E11,4,3),'Wochentag F(WT)'!$B$7:$J$22,V$9,0),4)</f>
        <v>#N/A</v>
      </c>
      <c r="W11" s="169" t="e">
        <f>ROUND(VLOOKUP(MID($E11,4,3),'Wochentag F(WT)'!$B$7:$J$22,W$9,0),4)</f>
        <v>#N/A</v>
      </c>
      <c r="X11" s="170" t="e">
        <f>7-SUM(R11:W11)</f>
        <v>#N/A</v>
      </c>
      <c r="Y11" s="303">
        <v>365.12299999999999</v>
      </c>
    </row>
    <row r="12" spans="2:26">
      <c r="B12" s="142">
        <v>1</v>
      </c>
      <c r="C12" s="143" t="str">
        <f t="shared" ref="C12:C41" si="0">$D$6</f>
        <v>Gaspool L-Gas</v>
      </c>
      <c r="D12" s="63" t="s">
        <v>248</v>
      </c>
      <c r="E12" s="166" t="s">
        <v>673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4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Gaspool L-Gas</v>
      </c>
      <c r="D13" s="63" t="s">
        <v>248</v>
      </c>
      <c r="E13" s="166" t="s">
        <v>674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3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Gaspool L-Gas</v>
      </c>
      <c r="D14" s="63" t="s">
        <v>248</v>
      </c>
      <c r="E14" s="166" t="s">
        <v>675</v>
      </c>
      <c r="F14" s="308" t="str">
        <f>VLOOKUP($E14,'BDEW-Standard'!$B$3:$M$94,F$9,0)</f>
        <v>MK5</v>
      </c>
      <c r="H14" s="279">
        <f>ROUND(VLOOKUP($E14,'BDEW-Standard'!$B$3:$M$94,H$9,0),7)</f>
        <v>3.5862354999999999</v>
      </c>
      <c r="I14" s="279">
        <f>ROUND(VLOOKUP($E14,'BDEW-Standard'!$B$3:$M$94,I$9,0),7)</f>
        <v>-37.080299400000001</v>
      </c>
      <c r="J14" s="279">
        <f>ROUND(VLOOKUP($E14,'BDEW-Standard'!$B$3:$M$94,J$9,0),7)</f>
        <v>8.2420571999999996</v>
      </c>
      <c r="K14" s="279">
        <f>ROUND(VLOOKUP($E14,'BDEW-Standard'!$B$3:$M$94,K$9,0),7)</f>
        <v>1.4600800000000001E-2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0.83553215880324316</v>
      </c>
      <c r="R14" s="282">
        <f>ROUND(VLOOKUP(MID($E14,4,3),'Wochentag F(WT)'!$B$7:$J$22,R$9,0),4)</f>
        <v>1.0699000000000001</v>
      </c>
      <c r="S14" s="282">
        <f>ROUND(VLOOKUP(MID($E14,4,3),'Wochentag F(WT)'!$B$7:$J$22,S$9,0),4)</f>
        <v>1.0365</v>
      </c>
      <c r="T14" s="282">
        <f>ROUND(VLOOKUP(MID($E14,4,3),'Wochentag F(WT)'!$B$7:$J$22,T$9,0),4)</f>
        <v>0.99329999999999996</v>
      </c>
      <c r="U14" s="282">
        <f>ROUND(VLOOKUP(MID($E14,4,3),'Wochentag F(WT)'!$B$7:$J$22,U$9,0),4)</f>
        <v>0.99480000000000002</v>
      </c>
      <c r="V14" s="282">
        <f>ROUND(VLOOKUP(MID($E14,4,3),'Wochentag F(WT)'!$B$7:$J$22,V$9,0),4)</f>
        <v>1.0659000000000001</v>
      </c>
      <c r="W14" s="282">
        <f>ROUND(VLOOKUP(MID($E14,4,3),'Wochentag F(WT)'!$B$7:$J$22,W$9,0),4)</f>
        <v>0.93620000000000003</v>
      </c>
      <c r="X14" s="283">
        <f t="shared" si="2"/>
        <v>0.90339999999999954</v>
      </c>
      <c r="Y14" s="304"/>
      <c r="Z14" s="213"/>
    </row>
    <row r="15" spans="2:26" s="144" customFormat="1">
      <c r="B15" s="145">
        <v>4</v>
      </c>
      <c r="C15" s="146" t="str">
        <f t="shared" si="0"/>
        <v>Gaspool L-Gas</v>
      </c>
      <c r="D15" s="63" t="s">
        <v>248</v>
      </c>
      <c r="E15" s="166" t="s">
        <v>676</v>
      </c>
      <c r="F15" s="308" t="str">
        <f>VLOOKUP($E15,'BDEW-Standard'!$B$3:$M$94,F$9,0)</f>
        <v>KO5</v>
      </c>
      <c r="H15" s="279">
        <f>ROUND(VLOOKUP($E15,'BDEW-Standard'!$B$3:$M$94,H$9,0),7)</f>
        <v>4.3624833000000001</v>
      </c>
      <c r="I15" s="279">
        <f>ROUND(VLOOKUP($E15,'BDEW-Standard'!$B$3:$M$94,I$9,0),7)</f>
        <v>-38.6634022</v>
      </c>
      <c r="J15" s="279">
        <f>ROUND(VLOOKUP($E15,'BDEW-Standard'!$B$3:$M$94,J$9,0),7)</f>
        <v>7.5974643999999998</v>
      </c>
      <c r="K15" s="279">
        <f>ROUND(VLOOKUP($E15,'BDEW-Standard'!$B$3:$M$94,K$9,0),7)</f>
        <v>8.3263999999999994E-3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0.84588853011795484</v>
      </c>
      <c r="R15" s="282">
        <f>ROUND(VLOOKUP(MID($E15,4,3),'Wochentag F(WT)'!$B$7:$J$22,R$9,0),4)</f>
        <v>1.0354000000000001</v>
      </c>
      <c r="S15" s="282">
        <f>ROUND(VLOOKUP(MID($E15,4,3),'Wochentag F(WT)'!$B$7:$J$22,S$9,0),4)</f>
        <v>1.0523</v>
      </c>
      <c r="T15" s="282">
        <f>ROUND(VLOOKUP(MID($E15,4,3),'Wochentag F(WT)'!$B$7:$J$22,T$9,0),4)</f>
        <v>1.0448999999999999</v>
      </c>
      <c r="U15" s="282">
        <f>ROUND(VLOOKUP(MID($E15,4,3),'Wochentag F(WT)'!$B$7:$J$22,U$9,0),4)</f>
        <v>1.0494000000000001</v>
      </c>
      <c r="V15" s="282">
        <f>ROUND(VLOOKUP(MID($E15,4,3),'Wochentag F(WT)'!$B$7:$J$22,V$9,0),4)</f>
        <v>0.98850000000000005</v>
      </c>
      <c r="W15" s="282">
        <f>ROUND(VLOOKUP(MID($E15,4,3),'Wochentag F(WT)'!$B$7:$J$22,W$9,0),4)</f>
        <v>0.88600000000000001</v>
      </c>
      <c r="X15" s="283">
        <f t="shared" si="2"/>
        <v>0.94349999999999934</v>
      </c>
      <c r="Y15" s="304"/>
      <c r="Z15" s="213"/>
    </row>
    <row r="16" spans="2:26" s="144" customFormat="1">
      <c r="B16" s="145">
        <v>5</v>
      </c>
      <c r="C16" s="146" t="str">
        <f t="shared" si="0"/>
        <v>Gaspool L-Gas</v>
      </c>
      <c r="D16" s="63" t="s">
        <v>248</v>
      </c>
      <c r="E16" s="166" t="s">
        <v>677</v>
      </c>
      <c r="F16" s="308" t="str">
        <f>VLOOKUP($E16,'BDEW-Standard'!$B$3:$M$94,F$9,0)</f>
        <v>BD5</v>
      </c>
      <c r="H16" s="279">
        <f>ROUND(VLOOKUP($E16,'BDEW-Standard'!$B$3:$M$94,H$9,0),7)</f>
        <v>4.5699506000000003</v>
      </c>
      <c r="I16" s="279">
        <f>ROUND(VLOOKUP($E16,'BDEW-Standard'!$B$3:$M$94,I$9,0),7)</f>
        <v>-38.535339200000003</v>
      </c>
      <c r="J16" s="279">
        <f>ROUND(VLOOKUP($E16,'BDEW-Standard'!$B$3:$M$94,J$9,0),7)</f>
        <v>7.5976990999999998</v>
      </c>
      <c r="K16" s="279">
        <f>ROUND(VLOOKUP($E16,'BDEW-Standard'!$B$3:$M$94,K$9,0),7)</f>
        <v>6.6314E-3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0.90200299693660235</v>
      </c>
      <c r="R16" s="282">
        <f>ROUND(VLOOKUP(MID($E16,4,3),'Wochentag F(WT)'!$B$7:$J$22,R$9,0),4)</f>
        <v>1.1052</v>
      </c>
      <c r="S16" s="282">
        <f>ROUND(VLOOKUP(MID($E16,4,3),'Wochentag F(WT)'!$B$7:$J$22,S$9,0),4)</f>
        <v>1.0857000000000001</v>
      </c>
      <c r="T16" s="282">
        <f>ROUND(VLOOKUP(MID($E16,4,3),'Wochentag F(WT)'!$B$7:$J$22,T$9,0),4)</f>
        <v>1.0378000000000001</v>
      </c>
      <c r="U16" s="282">
        <f>ROUND(VLOOKUP(MID($E16,4,3),'Wochentag F(WT)'!$B$7:$J$22,U$9,0),4)</f>
        <v>1.0622</v>
      </c>
      <c r="V16" s="282">
        <f>ROUND(VLOOKUP(MID($E16,4,3),'Wochentag F(WT)'!$B$7:$J$22,V$9,0),4)</f>
        <v>1.0266</v>
      </c>
      <c r="W16" s="282">
        <f>ROUND(VLOOKUP(MID($E16,4,3),'Wochentag F(WT)'!$B$7:$J$22,W$9,0),4)</f>
        <v>0.76290000000000002</v>
      </c>
      <c r="X16" s="283">
        <f t="shared" si="2"/>
        <v>0.91959999999999997</v>
      </c>
      <c r="Y16" s="304"/>
      <c r="Z16" s="213"/>
    </row>
    <row r="17" spans="2:26" s="144" customFormat="1">
      <c r="B17" s="145">
        <v>6</v>
      </c>
      <c r="C17" s="146" t="str">
        <f t="shared" si="0"/>
        <v>Gaspool L-Gas</v>
      </c>
      <c r="D17" s="63" t="s">
        <v>248</v>
      </c>
      <c r="E17" s="166" t="s">
        <v>678</v>
      </c>
      <c r="F17" s="308" t="str">
        <f>VLOOKUP($E17,'BDEW-Standard'!$B$3:$M$94,F$9,0)</f>
        <v>GA5</v>
      </c>
      <c r="H17" s="279">
        <f>ROUND(VLOOKUP($E17,'BDEW-Standard'!$B$3:$M$94,H$9,0),7)</f>
        <v>3.3295574999999999</v>
      </c>
      <c r="I17" s="279">
        <f>ROUND(VLOOKUP($E17,'BDEW-Standard'!$B$3:$M$94,I$9,0),7)</f>
        <v>-36.014621099999999</v>
      </c>
      <c r="J17" s="279">
        <f>ROUND(VLOOKUP($E17,'BDEW-Standard'!$B$3:$M$94,J$9,0),7)</f>
        <v>8.7767464999999998</v>
      </c>
      <c r="K17" s="279">
        <f>ROUND(VLOOKUP($E17,'BDEW-Standard'!$B$3:$M$94,K$9,0),7)</f>
        <v>0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0.87123951295728519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Gaspool L-Gas</v>
      </c>
      <c r="D18" s="63" t="s">
        <v>248</v>
      </c>
      <c r="E18" s="166" t="s">
        <v>679</v>
      </c>
      <c r="F18" s="308" t="str">
        <f>VLOOKUP($E18,'BDEW-Standard'!$B$3:$M$94,F$9,0)</f>
        <v>BH5</v>
      </c>
      <c r="H18" s="279">
        <f>ROUND(VLOOKUP($E18,'BDEW-Standard'!$B$3:$M$94,H$9,0),7)</f>
        <v>2.98</v>
      </c>
      <c r="I18" s="279">
        <f>ROUND(VLOOKUP($E18,'BDEW-Standard'!$B$3:$M$94,I$9,0),7)</f>
        <v>-35.799999999999997</v>
      </c>
      <c r="J18" s="279">
        <f>ROUND(VLOOKUP($E18,'BDEW-Standard'!$B$3:$M$94,J$9,0),7)</f>
        <v>5.6340580999999998</v>
      </c>
      <c r="K18" s="279">
        <f>ROUND(VLOOKUP($E18,'BDEW-Standard'!$B$3:$M$94,K$9,0),7)</f>
        <v>0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1.0340893561256006</v>
      </c>
      <c r="R18" s="282">
        <f>ROUND(VLOOKUP(MID($E18,4,3),'Wochentag F(WT)'!$B$7:$J$22,R$9,0),4)</f>
        <v>0.97670000000000001</v>
      </c>
      <c r="S18" s="282">
        <f>ROUND(VLOOKUP(MID($E18,4,3),'Wochentag F(WT)'!$B$7:$J$22,S$9,0),4)</f>
        <v>1.0388999999999999</v>
      </c>
      <c r="T18" s="282">
        <f>ROUND(VLOOKUP(MID($E18,4,3),'Wochentag F(WT)'!$B$7:$J$22,T$9,0),4)</f>
        <v>1.0027999999999999</v>
      </c>
      <c r="U18" s="282">
        <f>ROUND(VLOOKUP(MID($E18,4,3),'Wochentag F(WT)'!$B$7:$J$22,U$9,0),4)</f>
        <v>1.0162</v>
      </c>
      <c r="V18" s="282">
        <f>ROUND(VLOOKUP(MID($E18,4,3),'Wochentag F(WT)'!$B$7:$J$22,V$9,0),4)</f>
        <v>1.0024</v>
      </c>
      <c r="W18" s="282">
        <f>ROUND(VLOOKUP(MID($E18,4,3),'Wochentag F(WT)'!$B$7:$J$22,W$9,0),4)</f>
        <v>1.0043</v>
      </c>
      <c r="X18" s="283">
        <f t="shared" si="2"/>
        <v>0.95870000000000122</v>
      </c>
      <c r="Y18" s="304"/>
      <c r="Z18" s="213"/>
    </row>
    <row r="19" spans="2:26" s="144" customFormat="1">
      <c r="B19" s="145">
        <v>8</v>
      </c>
      <c r="C19" s="146" t="str">
        <f t="shared" si="0"/>
        <v>Gaspool L-Gas</v>
      </c>
      <c r="D19" s="63" t="s">
        <v>248</v>
      </c>
      <c r="E19" s="166" t="s">
        <v>680</v>
      </c>
      <c r="F19" s="308" t="str">
        <f>VLOOKUP($E19,'BDEW-Standard'!$B$3:$M$94,F$9,0)</f>
        <v>WA5</v>
      </c>
      <c r="H19" s="279">
        <f>ROUND(VLOOKUP($E19,'BDEW-Standard'!$B$3:$M$94,H$9,0),7)</f>
        <v>1.2768854000000001</v>
      </c>
      <c r="I19" s="279">
        <f>ROUND(VLOOKUP($E19,'BDEW-Standard'!$B$3:$M$94,I$9,0),7)</f>
        <v>-34.342437099999998</v>
      </c>
      <c r="J19" s="279">
        <f>ROUND(VLOOKUP($E19,'BDEW-Standard'!$B$3:$M$94,J$9,0),7)</f>
        <v>5.4518822</v>
      </c>
      <c r="K19" s="279">
        <f>ROUND(VLOOKUP($E19,'BDEW-Standard'!$B$3:$M$94,K$9,0),7)</f>
        <v>0.55726600000000004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1.0742572390606009</v>
      </c>
      <c r="R19" s="282">
        <f>ROUND(VLOOKUP(MID($E19,4,3),'Wochentag F(WT)'!$B$7:$J$22,R$9,0),4)</f>
        <v>1.2457</v>
      </c>
      <c r="S19" s="282">
        <f>ROUND(VLOOKUP(MID($E19,4,3),'Wochentag F(WT)'!$B$7:$J$22,S$9,0),4)</f>
        <v>1.2615000000000001</v>
      </c>
      <c r="T19" s="282">
        <f>ROUND(VLOOKUP(MID($E19,4,3),'Wochentag F(WT)'!$B$7:$J$22,T$9,0),4)</f>
        <v>1.2706999999999999</v>
      </c>
      <c r="U19" s="282">
        <f>ROUND(VLOOKUP(MID($E19,4,3),'Wochentag F(WT)'!$B$7:$J$22,U$9,0),4)</f>
        <v>1.2430000000000001</v>
      </c>
      <c r="V19" s="282">
        <f>ROUND(VLOOKUP(MID($E19,4,3),'Wochentag F(WT)'!$B$7:$J$22,V$9,0),4)</f>
        <v>1.1275999999999999</v>
      </c>
      <c r="W19" s="282">
        <f>ROUND(VLOOKUP(MID($E19,4,3),'Wochentag F(WT)'!$B$7:$J$22,W$9,0),4)</f>
        <v>0.38769999999999999</v>
      </c>
      <c r="X19" s="283">
        <f t="shared" si="2"/>
        <v>0.46379999999999999</v>
      </c>
      <c r="Y19" s="304"/>
      <c r="Z19" s="213"/>
    </row>
    <row r="20" spans="2:26" s="144" customFormat="1">
      <c r="B20" s="145">
        <v>9</v>
      </c>
      <c r="C20" s="146" t="str">
        <f t="shared" si="0"/>
        <v>Gaspool L-Gas</v>
      </c>
      <c r="D20" s="63" t="s">
        <v>248</v>
      </c>
      <c r="E20" s="166" t="s">
        <v>681</v>
      </c>
      <c r="F20" s="308" t="str">
        <f>VLOOKUP($E20,'BDEW-Standard'!$B$3:$M$94,F$9,0)</f>
        <v>GB5</v>
      </c>
      <c r="H20" s="279">
        <f>ROUND(VLOOKUP($E20,'BDEW-Standard'!$B$3:$M$94,H$9,0),7)</f>
        <v>3.9320531999999999</v>
      </c>
      <c r="I20" s="279">
        <f>ROUND(VLOOKUP($E20,'BDEW-Standard'!$B$3:$M$94,I$9,0),7)</f>
        <v>-38.143324800000002</v>
      </c>
      <c r="J20" s="279">
        <f>ROUND(VLOOKUP($E20,'BDEW-Standard'!$B$3:$M$94,J$9,0),7)</f>
        <v>7.6185871000000001</v>
      </c>
      <c r="K20" s="279">
        <f>ROUND(VLOOKUP($E20,'BDEW-Standard'!$B$3:$M$94,K$9,0),7)</f>
        <v>2.30297E-2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0.84030497703104434</v>
      </c>
      <c r="R20" s="282">
        <f>ROUND(VLOOKUP(MID($E20,4,3),'Wochentag F(WT)'!$B$7:$J$22,R$9,0),4)</f>
        <v>0.98970000000000002</v>
      </c>
      <c r="S20" s="282">
        <f>ROUND(VLOOKUP(MID($E20,4,3),'Wochentag F(WT)'!$B$7:$J$22,S$9,0),4)</f>
        <v>0.9627</v>
      </c>
      <c r="T20" s="282">
        <f>ROUND(VLOOKUP(MID($E20,4,3),'Wochentag F(WT)'!$B$7:$J$22,T$9,0),4)</f>
        <v>1.0507</v>
      </c>
      <c r="U20" s="282">
        <f>ROUND(VLOOKUP(MID($E20,4,3),'Wochentag F(WT)'!$B$7:$J$22,U$9,0),4)</f>
        <v>1.0551999999999999</v>
      </c>
      <c r="V20" s="282">
        <f>ROUND(VLOOKUP(MID($E20,4,3),'Wochentag F(WT)'!$B$7:$J$22,V$9,0),4)</f>
        <v>1.0297000000000001</v>
      </c>
      <c r="W20" s="282">
        <f>ROUND(VLOOKUP(MID($E20,4,3),'Wochentag F(WT)'!$B$7:$J$22,W$9,0),4)</f>
        <v>0.97670000000000001</v>
      </c>
      <c r="X20" s="283">
        <f t="shared" si="2"/>
        <v>0.9352999999999998</v>
      </c>
      <c r="Y20" s="304"/>
      <c r="Z20" s="213"/>
    </row>
    <row r="21" spans="2:26" s="144" customFormat="1">
      <c r="B21" s="145">
        <v>10</v>
      </c>
      <c r="C21" s="146" t="str">
        <f t="shared" si="0"/>
        <v>Gaspool L-Gas</v>
      </c>
      <c r="D21" s="63" t="s">
        <v>248</v>
      </c>
      <c r="E21" s="166" t="s">
        <v>682</v>
      </c>
      <c r="F21" s="308" t="str">
        <f>VLOOKUP($E21,'BDEW-Standard'!$B$3:$M$94,F$9,0)</f>
        <v>BA5</v>
      </c>
      <c r="H21" s="279">
        <f>ROUND(VLOOKUP($E21,'BDEW-Standard'!$B$3:$M$94,H$9,0),7)</f>
        <v>1.2779567000000001</v>
      </c>
      <c r="I21" s="279">
        <f>ROUND(VLOOKUP($E21,'BDEW-Standard'!$B$3:$M$94,I$9,0),7)</f>
        <v>-34.517392000000001</v>
      </c>
      <c r="J21" s="279">
        <f>ROUND(VLOOKUP($E21,'BDEW-Standard'!$B$3:$M$94,J$9,0),7)</f>
        <v>5.7212303000000002</v>
      </c>
      <c r="K21" s="279">
        <f>ROUND(VLOOKUP($E21,'BDEW-Standard'!$B$3:$M$94,K$9,0),7)</f>
        <v>0.54573329999999998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1.0484170386064726</v>
      </c>
      <c r="R21" s="282">
        <f>ROUND(VLOOKUP(MID($E21,4,3),'Wochentag F(WT)'!$B$7:$J$22,R$9,0),4)</f>
        <v>1.0848</v>
      </c>
      <c r="S21" s="282">
        <f>ROUND(VLOOKUP(MID($E21,4,3),'Wochentag F(WT)'!$B$7:$J$22,S$9,0),4)</f>
        <v>1.1211</v>
      </c>
      <c r="T21" s="282">
        <f>ROUND(VLOOKUP(MID($E21,4,3),'Wochentag F(WT)'!$B$7:$J$22,T$9,0),4)</f>
        <v>1.0769</v>
      </c>
      <c r="U21" s="282">
        <f>ROUND(VLOOKUP(MID($E21,4,3),'Wochentag F(WT)'!$B$7:$J$22,U$9,0),4)</f>
        <v>1.1353</v>
      </c>
      <c r="V21" s="282">
        <f>ROUND(VLOOKUP(MID($E21,4,3),'Wochentag F(WT)'!$B$7:$J$22,V$9,0),4)</f>
        <v>1.1402000000000001</v>
      </c>
      <c r="W21" s="282">
        <f>ROUND(VLOOKUP(MID($E21,4,3),'Wochentag F(WT)'!$B$7:$J$22,W$9,0),4)</f>
        <v>0.48520000000000002</v>
      </c>
      <c r="X21" s="283">
        <f t="shared" si="2"/>
        <v>0.95650000000000013</v>
      </c>
      <c r="Y21" s="304"/>
      <c r="Z21" s="213"/>
    </row>
    <row r="22" spans="2:26" s="144" customFormat="1">
      <c r="B22" s="145">
        <v>11</v>
      </c>
      <c r="C22" s="146" t="str">
        <f t="shared" si="0"/>
        <v>Gaspool L-Gas</v>
      </c>
      <c r="D22" s="63" t="s">
        <v>248</v>
      </c>
      <c r="E22" s="166" t="s">
        <v>683</v>
      </c>
      <c r="F22" s="308" t="str">
        <f>VLOOKUP($E22,'BDEW-Standard'!$B$3:$M$94,F$9,0)</f>
        <v>PD5</v>
      </c>
      <c r="H22" s="279">
        <f>ROUND(VLOOKUP($E22,'BDEW-Standard'!$B$3:$M$94,H$9,0),7)</f>
        <v>4.7462814</v>
      </c>
      <c r="I22" s="279">
        <f>ROUND(VLOOKUP($E22,'BDEW-Standard'!$B$3:$M$94,I$9,0),7)</f>
        <v>-38.750429400000002</v>
      </c>
      <c r="J22" s="279">
        <f>ROUND(VLOOKUP($E22,'BDEW-Standard'!$B$3:$M$94,J$9,0),7)</f>
        <v>10.275333399999999</v>
      </c>
      <c r="K22" s="279">
        <f>ROUND(VLOOKUP($E22,'BDEW-Standard'!$B$3:$M$94,K$9,0),7)</f>
        <v>0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0.58254597027316624</v>
      </c>
      <c r="R22" s="282">
        <f>ROUND(VLOOKUP(MID($E22,4,3),'Wochentag F(WT)'!$B$7:$J$22,R$9,0),4)</f>
        <v>1.0214000000000001</v>
      </c>
      <c r="S22" s="282">
        <f>ROUND(VLOOKUP(MID($E22,4,3),'Wochentag F(WT)'!$B$7:$J$22,S$9,0),4)</f>
        <v>1.0866</v>
      </c>
      <c r="T22" s="282">
        <f>ROUND(VLOOKUP(MID($E22,4,3),'Wochentag F(WT)'!$B$7:$J$22,T$9,0),4)</f>
        <v>1.0720000000000001</v>
      </c>
      <c r="U22" s="282">
        <f>ROUND(VLOOKUP(MID($E22,4,3),'Wochentag F(WT)'!$B$7:$J$22,U$9,0),4)</f>
        <v>1.0557000000000001</v>
      </c>
      <c r="V22" s="282">
        <f>ROUND(VLOOKUP(MID($E22,4,3),'Wochentag F(WT)'!$B$7:$J$22,V$9,0),4)</f>
        <v>1.0117</v>
      </c>
      <c r="W22" s="282">
        <f>ROUND(VLOOKUP(MID($E22,4,3),'Wochentag F(WT)'!$B$7:$J$22,W$9,0),4)</f>
        <v>0.90010000000000001</v>
      </c>
      <c r="X22" s="283">
        <f t="shared" si="2"/>
        <v>0.85249999999999915</v>
      </c>
      <c r="Y22" s="304"/>
      <c r="Z22" s="213"/>
    </row>
    <row r="23" spans="2:26" s="144" customFormat="1">
      <c r="B23" s="145">
        <v>12</v>
      </c>
      <c r="C23" s="146" t="str">
        <f t="shared" si="0"/>
        <v>Gaspool L-Gas</v>
      </c>
      <c r="D23" s="63" t="s">
        <v>248</v>
      </c>
      <c r="E23" s="166" t="s">
        <v>684</v>
      </c>
      <c r="F23" s="308" t="str">
        <f>VLOOKUP($E23,'BDEW-Standard'!$B$3:$M$94,F$9,0)</f>
        <v>HA5</v>
      </c>
      <c r="H23" s="279">
        <f>ROUND(VLOOKUP($E23,'BDEW-Standard'!$B$3:$M$94,H$9,0),7)</f>
        <v>4.8252376000000003</v>
      </c>
      <c r="I23" s="279">
        <f>ROUND(VLOOKUP($E23,'BDEW-Standard'!$B$3:$M$94,I$9,0),7)</f>
        <v>-39.280256399999999</v>
      </c>
      <c r="J23" s="279">
        <f>ROUND(VLOOKUP($E23,'BDEW-Standard'!$B$3:$M$94,J$9,0),7)</f>
        <v>8.6240217000000001</v>
      </c>
      <c r="K23" s="279">
        <f>ROUND(VLOOKUP($E23,'BDEW-Standard'!$B$3:$M$94,K$9,0),7)</f>
        <v>9.9944999999999999E-3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0.7135891999263051</v>
      </c>
      <c r="R23" s="282">
        <f>ROUND(VLOOKUP(MID($E23,4,3),'Wochentag F(WT)'!$B$7:$J$22,R$9,0),4)</f>
        <v>1.0358000000000001</v>
      </c>
      <c r="S23" s="282">
        <f>ROUND(VLOOKUP(MID($E23,4,3),'Wochentag F(WT)'!$B$7:$J$22,S$9,0),4)</f>
        <v>1.0232000000000001</v>
      </c>
      <c r="T23" s="282">
        <f>ROUND(VLOOKUP(MID($E23,4,3),'Wochentag F(WT)'!$B$7:$J$22,T$9,0),4)</f>
        <v>1.0251999999999999</v>
      </c>
      <c r="U23" s="282">
        <f>ROUND(VLOOKUP(MID($E23,4,3),'Wochentag F(WT)'!$B$7:$J$22,U$9,0),4)</f>
        <v>1.0295000000000001</v>
      </c>
      <c r="V23" s="282">
        <f>ROUND(VLOOKUP(MID($E23,4,3),'Wochentag F(WT)'!$B$7:$J$22,V$9,0),4)</f>
        <v>1.0253000000000001</v>
      </c>
      <c r="W23" s="282">
        <f>ROUND(VLOOKUP(MID($E23,4,3),'Wochentag F(WT)'!$B$7:$J$22,W$9,0),4)</f>
        <v>0.96750000000000003</v>
      </c>
      <c r="X23" s="283">
        <f t="shared" si="2"/>
        <v>0.89350000000000041</v>
      </c>
      <c r="Y23" s="304"/>
      <c r="Z23" s="213"/>
    </row>
    <row r="24" spans="2:26" s="144" customFormat="1">
      <c r="B24" s="145">
        <v>13</v>
      </c>
      <c r="C24" s="146" t="str">
        <f t="shared" si="0"/>
        <v>Gaspool L-Gas</v>
      </c>
      <c r="D24" s="63" t="s">
        <v>248</v>
      </c>
      <c r="E24" s="166" t="s">
        <v>4</v>
      </c>
      <c r="F24" s="308" t="str">
        <f>VLOOKUP($E24,'BDEW-Standard'!$B$3:$M$94,F$9,0)</f>
        <v>HK3</v>
      </c>
      <c r="H24" s="279">
        <f>ROUND(VLOOKUP($E24,'BDEW-Standard'!$B$3:$M$94,H$9,0),7)</f>
        <v>0.40409319999999999</v>
      </c>
      <c r="I24" s="279">
        <f>ROUND(VLOOKUP($E24,'BDEW-Standard'!$B$3:$M$94,I$9,0),7)</f>
        <v>-24.439296800000001</v>
      </c>
      <c r="J24" s="279">
        <f>ROUND(VLOOKUP($E24,'BDEW-Standard'!$B$3:$M$94,J$9,0),7)</f>
        <v>6.5718174999999999</v>
      </c>
      <c r="K24" s="279">
        <f>ROUND(VLOOKUP($E24,'BDEW-Standard'!$B$3:$M$94,K$9,0),7)</f>
        <v>0.71077100000000004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1.0561214000512988</v>
      </c>
      <c r="R24" s="282">
        <f>ROUND(VLOOKUP(MID($E24,4,3),'Wochentag F(WT)'!$B$7:$J$22,R$9,0),4)</f>
        <v>1</v>
      </c>
      <c r="S24" s="282">
        <f>ROUND(VLOOKUP(MID($E24,4,3),'Wochentag F(WT)'!$B$7:$J$22,S$9,0),4)</f>
        <v>1</v>
      </c>
      <c r="T24" s="282">
        <f>ROUND(VLOOKUP(MID($E24,4,3),'Wochentag F(WT)'!$B$7:$J$22,T$9,0),4)</f>
        <v>1</v>
      </c>
      <c r="U24" s="282">
        <f>ROUND(VLOOKUP(MID($E24,4,3),'Wochentag F(WT)'!$B$7:$J$22,U$9,0),4)</f>
        <v>1</v>
      </c>
      <c r="V24" s="282">
        <f>ROUND(VLOOKUP(MID($E24,4,3),'Wochentag F(WT)'!$B$7:$J$22,V$9,0),4)</f>
        <v>1</v>
      </c>
      <c r="W24" s="282">
        <f>ROUND(VLOOKUP(MID($E24,4,3),'Wochentag F(WT)'!$B$7:$J$22,W$9,0),4)</f>
        <v>1</v>
      </c>
      <c r="X24" s="283">
        <f t="shared" ref="X24" si="3">7-SUM(R24:W24)</f>
        <v>1</v>
      </c>
      <c r="Y24" s="304"/>
      <c r="Z24" s="213"/>
    </row>
    <row r="25" spans="2:26" s="144" customFormat="1">
      <c r="B25" s="145">
        <v>14</v>
      </c>
      <c r="C25" s="146" t="str">
        <f t="shared" si="0"/>
        <v>Gaspool L-Gas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Gaspool L-Gas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Gaspool L-Gas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Gaspool L-Gas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Gaspool L-Gas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Gaspool L-Gas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Gaspool L-Gas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Gaspool L-Gas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Gaspool L-Gas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Gaspool L-Gas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Gaspool L-Gas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Gaspool L-Gas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Gaspool L-Gas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Gaspool L-Gas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Gaspool L-Gas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Gaspool L-Gas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Gaspool L-Gas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23 H11:Y23 H25:Y41 Y24 F25:F41">
    <cfRule type="expression" dxfId="13" priority="12">
      <formula>ISERROR(F11)</formula>
    </cfRule>
  </conditionalFormatting>
  <conditionalFormatting sqref="E25:F41 Y12:Y41 F12:F23">
    <cfRule type="duplicateValues" dxfId="12" priority="34"/>
  </conditionalFormatting>
  <conditionalFormatting sqref="E12:E24">
    <cfRule type="duplicateValues" dxfId="11" priority="3"/>
  </conditionalFormatting>
  <conditionalFormatting sqref="F24 H24:X24">
    <cfRule type="expression" dxfId="10" priority="1">
      <formula>ISERROR(F24)</formula>
    </cfRule>
  </conditionalFormatting>
  <conditionalFormatting sqref="F24">
    <cfRule type="duplicateValues" dxfId="9" priority="2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61" zoomScale="80" zoomScaleNormal="80" workbookViewId="0">
      <selection activeCell="B82" sqref="B82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551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S29" sqref="S29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Harz Energie Netz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Gaspool L-Gas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9870038700000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43831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1" t="s">
        <v>462</v>
      </c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6" t="s">
        <v>589</v>
      </c>
      <c r="C10" s="357"/>
      <c r="D10" s="95">
        <v>2</v>
      </c>
      <c r="E10" s="96" t="str">
        <f>IF(ISERROR(HLOOKUP(E$11,$M$9:$AD$35,$D10,0)),"",HLOOKUP(E$11,$M$9:$AD$35,$D10,0))</f>
        <v/>
      </c>
      <c r="F10" s="354" t="s">
        <v>400</v>
      </c>
      <c r="G10" s="354"/>
      <c r="H10" s="354"/>
      <c r="I10" s="354"/>
      <c r="J10" s="354"/>
      <c r="K10" s="354"/>
      <c r="L10" s="355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402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403</v>
      </c>
      <c r="C14" s="118"/>
      <c r="D14" s="112">
        <v>6</v>
      </c>
      <c r="E14" s="316">
        <f t="shared" si="0"/>
        <v>0</v>
      </c>
      <c r="F14" s="313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657</v>
      </c>
      <c r="C19" s="341"/>
      <c r="D19" s="112"/>
      <c r="E19" s="316"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406</v>
      </c>
      <c r="C20" s="118"/>
      <c r="D20" s="112">
        <v>11</v>
      </c>
      <c r="E20" s="316">
        <f t="shared" si="0"/>
        <v>1</v>
      </c>
      <c r="F20" s="313" t="s">
        <v>397</v>
      </c>
      <c r="G20" s="81" t="s">
        <v>397</v>
      </c>
      <c r="H20" s="81" t="s">
        <v>397</v>
      </c>
      <c r="I20" s="81" t="s">
        <v>397</v>
      </c>
      <c r="J20" s="81" t="s">
        <v>397</v>
      </c>
      <c r="K20" s="81" t="s">
        <v>397</v>
      </c>
      <c r="L20" s="82" t="s">
        <v>397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655</v>
      </c>
      <c r="C21" s="118"/>
      <c r="D21" s="112">
        <v>12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397</v>
      </c>
      <c r="J21" s="81" t="s">
        <v>404</v>
      </c>
      <c r="K21" s="81" t="s">
        <v>404</v>
      </c>
      <c r="L21" s="82" t="s">
        <v>404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13</v>
      </c>
      <c r="E22" s="316">
        <f t="shared" si="0"/>
        <v>1</v>
      </c>
      <c r="F22" s="313" t="s">
        <v>404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397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421</v>
      </c>
      <c r="C23" s="118"/>
      <c r="D23" s="112">
        <v>14</v>
      </c>
      <c r="E23" s="316">
        <f t="shared" si="0"/>
        <v>1</v>
      </c>
      <c r="F23" s="313" t="s">
        <v>397</v>
      </c>
      <c r="G23" s="81" t="s">
        <v>404</v>
      </c>
      <c r="H23" s="81" t="s">
        <v>404</v>
      </c>
      <c r="I23" s="81" t="s">
        <v>404</v>
      </c>
      <c r="J23" s="81" t="s">
        <v>404</v>
      </c>
      <c r="K23" s="81" t="s">
        <v>404</v>
      </c>
      <c r="L23" s="82" t="s">
        <v>404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422</v>
      </c>
      <c r="C24" s="118"/>
      <c r="D24" s="112">
        <v>15</v>
      </c>
      <c r="E24" s="316">
        <f t="shared" si="0"/>
        <v>0</v>
      </c>
      <c r="F24" s="313" t="s">
        <v>404</v>
      </c>
      <c r="G24" s="81" t="s">
        <v>404</v>
      </c>
      <c r="H24" s="81" t="s">
        <v>404</v>
      </c>
      <c r="I24" s="81" t="s">
        <v>397</v>
      </c>
      <c r="J24" s="81" t="s">
        <v>404</v>
      </c>
      <c r="K24" s="81" t="s">
        <v>404</v>
      </c>
      <c r="L24" s="82" t="s">
        <v>404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16</v>
      </c>
      <c r="E25" s="316">
        <f t="shared" si="0"/>
        <v>0</v>
      </c>
      <c r="F25" s="313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408</v>
      </c>
      <c r="C26" s="118"/>
      <c r="D26" s="112">
        <v>17</v>
      </c>
      <c r="E26" s="316">
        <f t="shared" si="0"/>
        <v>0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656</v>
      </c>
      <c r="C27" s="341"/>
      <c r="D27" s="112"/>
      <c r="E27" s="316">
        <v>1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409</v>
      </c>
      <c r="C28" s="118"/>
      <c r="D28" s="112">
        <v>18</v>
      </c>
      <c r="E28" s="316">
        <f t="shared" si="0"/>
        <v>1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410</v>
      </c>
      <c r="C29" s="341"/>
      <c r="D29" s="342">
        <v>19</v>
      </c>
      <c r="E29" s="343">
        <v>1</v>
      </c>
      <c r="F29" s="313" t="s">
        <v>397</v>
      </c>
      <c r="G29" s="313" t="s">
        <v>397</v>
      </c>
      <c r="H29" s="313" t="s">
        <v>397</v>
      </c>
      <c r="I29" s="313" t="s">
        <v>397</v>
      </c>
      <c r="J29" s="313" t="s">
        <v>397</v>
      </c>
      <c r="K29" s="313" t="s">
        <v>397</v>
      </c>
      <c r="L29" s="313" t="s">
        <v>397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411</v>
      </c>
      <c r="C30" s="118"/>
      <c r="D30" s="112">
        <v>20</v>
      </c>
      <c r="E30" s="316">
        <f t="shared" si="0"/>
        <v>0</v>
      </c>
      <c r="F30" s="313" t="s">
        <v>397</v>
      </c>
      <c r="G30" s="81" t="s">
        <v>397</v>
      </c>
      <c r="H30" s="81" t="s">
        <v>397</v>
      </c>
      <c r="I30" s="81" t="s">
        <v>397</v>
      </c>
      <c r="J30" s="81" t="s">
        <v>397</v>
      </c>
      <c r="K30" s="81" t="s">
        <v>397</v>
      </c>
      <c r="L30" s="82" t="s">
        <v>397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412</v>
      </c>
      <c r="C31" s="118"/>
      <c r="D31" s="112">
        <v>21</v>
      </c>
      <c r="E31" s="316">
        <f t="shared" si="0"/>
        <v>0</v>
      </c>
      <c r="F31" s="313" t="s">
        <v>404</v>
      </c>
      <c r="G31" s="81" t="s">
        <v>404</v>
      </c>
      <c r="H31" s="81" t="s">
        <v>397</v>
      </c>
      <c r="I31" s="81" t="s">
        <v>404</v>
      </c>
      <c r="J31" s="81" t="s">
        <v>404</v>
      </c>
      <c r="K31" s="81" t="s">
        <v>404</v>
      </c>
      <c r="L31" s="82" t="s">
        <v>404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413</v>
      </c>
      <c r="C32" s="118"/>
      <c r="D32" s="112">
        <v>22</v>
      </c>
      <c r="E32" s="316">
        <f t="shared" si="0"/>
        <v>0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397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414</v>
      </c>
      <c r="C33" s="118"/>
      <c r="D33" s="112">
        <v>23</v>
      </c>
      <c r="E33" s="316">
        <f t="shared" si="0"/>
        <v>1</v>
      </c>
      <c r="F33" s="313" t="s">
        <v>397</v>
      </c>
      <c r="G33" s="81" t="s">
        <v>397</v>
      </c>
      <c r="H33" s="81" t="s">
        <v>397</v>
      </c>
      <c r="I33" s="81" t="s">
        <v>397</v>
      </c>
      <c r="J33" s="81" t="s">
        <v>397</v>
      </c>
      <c r="K33" s="81" t="s">
        <v>397</v>
      </c>
      <c r="L33" s="82" t="s">
        <v>397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415</v>
      </c>
      <c r="C34" s="118"/>
      <c r="D34" s="112">
        <v>24</v>
      </c>
      <c r="E34" s="316">
        <f t="shared" si="0"/>
        <v>1</v>
      </c>
      <c r="F34" s="313" t="s">
        <v>397</v>
      </c>
      <c r="G34" s="81" t="s">
        <v>397</v>
      </c>
      <c r="H34" s="81" t="s">
        <v>397</v>
      </c>
      <c r="I34" s="81" t="s">
        <v>397</v>
      </c>
      <c r="J34" s="81" t="s">
        <v>397</v>
      </c>
      <c r="K34" s="81" t="s">
        <v>397</v>
      </c>
      <c r="L34" s="82" t="s">
        <v>397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416</v>
      </c>
      <c r="C35" s="124"/>
      <c r="D35" s="125">
        <v>25</v>
      </c>
      <c r="E35" s="317">
        <f t="shared" si="0"/>
        <v>0</v>
      </c>
      <c r="F35" s="314" t="s">
        <v>396</v>
      </c>
      <c r="G35" s="83" t="s">
        <v>396</v>
      </c>
      <c r="H35" s="83" t="s">
        <v>396</v>
      </c>
      <c r="I35" s="83" t="s">
        <v>396</v>
      </c>
      <c r="J35" s="83" t="s">
        <v>396</v>
      </c>
      <c r="K35" s="83" t="s">
        <v>396</v>
      </c>
      <c r="L35" s="84" t="s">
        <v>397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J28" sqref="J28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551</v>
      </c>
    </row>
    <row r="2" spans="1:16">
      <c r="A2" s="238"/>
      <c r="B2" s="237" t="s">
        <v>460</v>
      </c>
    </row>
    <row r="3" spans="1:16" ht="20.100000000000001" customHeight="1">
      <c r="A3" s="358" t="s">
        <v>249</v>
      </c>
      <c r="B3" s="239" t="s">
        <v>86</v>
      </c>
      <c r="C3" s="240"/>
      <c r="D3" s="360" t="s">
        <v>461</v>
      </c>
      <c r="E3" s="361"/>
      <c r="F3" s="361"/>
      <c r="G3" s="361"/>
      <c r="H3" s="361"/>
      <c r="I3" s="361"/>
      <c r="J3" s="362"/>
      <c r="K3" s="241"/>
      <c r="L3" s="241"/>
      <c r="M3" s="241"/>
      <c r="N3" s="241"/>
      <c r="O3" s="242"/>
      <c r="P3" s="241"/>
    </row>
    <row r="4" spans="1:16" ht="20.100000000000001" customHeight="1">
      <c r="A4" s="359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Bad Lauterberg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Rainer Fricke</cp:lastModifiedBy>
  <cp:lastPrinted>2015-03-20T22:59:10Z</cp:lastPrinted>
  <dcterms:created xsi:type="dcterms:W3CDTF">2015-01-15T05:25:41Z</dcterms:created>
  <dcterms:modified xsi:type="dcterms:W3CDTF">2020-01-24T09:29:58Z</dcterms:modified>
</cp:coreProperties>
</file>